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SH\Documen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Sheet1!$A$1:$I$52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26" i="1"/>
  <c r="E27" i="1"/>
  <c r="E25" i="1"/>
  <c r="B26" i="1"/>
  <c r="B27" i="1"/>
  <c r="B25" i="1"/>
  <c r="I25" i="1"/>
  <c r="I26" i="1"/>
  <c r="I27" i="1"/>
  <c r="I28" i="1"/>
  <c r="E36" i="1"/>
  <c r="I36" i="1"/>
  <c r="E37" i="1"/>
  <c r="I37" i="1"/>
  <c r="E38" i="1"/>
  <c r="I38" i="1"/>
  <c r="E39" i="1"/>
  <c r="I39" i="1"/>
  <c r="I40" i="1"/>
  <c r="D42" i="1"/>
  <c r="F42" i="1"/>
  <c r="I42" i="1"/>
  <c r="D43" i="1"/>
  <c r="F43" i="1"/>
  <c r="I43" i="1"/>
  <c r="D44" i="1"/>
  <c r="F44" i="1"/>
  <c r="I44" i="1"/>
  <c r="I45" i="1"/>
  <c r="F21" i="1"/>
  <c r="B21" i="1"/>
  <c r="D21" i="1"/>
  <c r="I21" i="1"/>
  <c r="B22" i="1"/>
  <c r="D22" i="1"/>
  <c r="F22" i="1"/>
  <c r="I22" i="1"/>
  <c r="I23" i="1"/>
  <c r="E11" i="1"/>
  <c r="I11" i="1"/>
  <c r="E12" i="1"/>
  <c r="F12" i="1"/>
  <c r="I12" i="1"/>
  <c r="E13" i="1"/>
  <c r="F13" i="1"/>
  <c r="I13" i="1"/>
  <c r="I14" i="1"/>
  <c r="I30" i="1"/>
  <c r="I31" i="1"/>
  <c r="I32" i="1"/>
  <c r="I33" i="1"/>
  <c r="I34" i="1"/>
  <c r="I16" i="1"/>
  <c r="I17" i="1"/>
  <c r="I18" i="1"/>
  <c r="I19" i="1"/>
  <c r="F4" i="1"/>
  <c r="I4" i="1"/>
  <c r="F5" i="1"/>
  <c r="I5" i="1"/>
  <c r="F6" i="1"/>
  <c r="I6" i="1"/>
  <c r="F7" i="1"/>
  <c r="I7" i="1"/>
  <c r="F8" i="1"/>
  <c r="I8" i="1"/>
  <c r="I9" i="1"/>
  <c r="I47" i="1"/>
  <c r="I51" i="1"/>
  <c r="I52" i="1"/>
  <c r="I50" i="1"/>
  <c r="I49" i="1"/>
</calcChain>
</file>

<file path=xl/sharedStrings.xml><?xml version="1.0" encoding="utf-8"?>
<sst xmlns="http://schemas.openxmlformats.org/spreadsheetml/2006/main" count="97" uniqueCount="85">
  <si>
    <t>Alcohol Ingredients</t>
  </si>
  <si>
    <t>LCBO Number</t>
  </si>
  <si>
    <t>Recipe Quantity (oz)</t>
  </si>
  <si>
    <t>Bottle Cost</t>
  </si>
  <si>
    <t>Bottle Size (ml)</t>
  </si>
  <si>
    <t>Cost Per oz</t>
  </si>
  <si>
    <t>Packaged Liquids (cans, bottles, jars, etc.)</t>
  </si>
  <si>
    <t>Unit Size (ml)</t>
  </si>
  <si>
    <t>Recipe Size (oz)</t>
  </si>
  <si>
    <t>Recipe Size (ml)</t>
  </si>
  <si>
    <t>Cost Per ml</t>
  </si>
  <si>
    <t>Running Pour Cost</t>
  </si>
  <si>
    <t>Fresh Juice</t>
  </si>
  <si>
    <t>Single Unit AP</t>
  </si>
  <si>
    <t>Units Required</t>
  </si>
  <si>
    <t>Alcohol Pour Cost</t>
  </si>
  <si>
    <t>Packaged Liquids Pour Cost</t>
  </si>
  <si>
    <t>Fresh Juice Pour Cost</t>
  </si>
  <si>
    <t>House Made Syrups or Sweeteners</t>
  </si>
  <si>
    <t>Other (estimate cost)</t>
  </si>
  <si>
    <t>Honey Syrup cost per oz = .28</t>
  </si>
  <si>
    <t>Simple Syrup cost per oz = .02</t>
  </si>
  <si>
    <t>Syrups Pour Cost</t>
  </si>
  <si>
    <t>Estimate Cost</t>
  </si>
  <si>
    <t>Spices or Other Pour Cost</t>
  </si>
  <si>
    <t>Spices, House Made Ingredients, or "Other" Ingredients</t>
  </si>
  <si>
    <t>Provide any special notes for ingredients below</t>
  </si>
  <si>
    <t>Garnishes</t>
  </si>
  <si>
    <t>Cost per Unit</t>
  </si>
  <si>
    <t>Pieces per Unit</t>
  </si>
  <si>
    <t>Cost per Piece</t>
  </si>
  <si>
    <t>If garnish cannot be calculated, enter estimate below</t>
  </si>
  <si>
    <t>Number of Pieces Needed for Drink</t>
  </si>
  <si>
    <t>Garnishes Pour Cost</t>
  </si>
  <si>
    <t>Package AP</t>
  </si>
  <si>
    <t>Units per Package</t>
  </si>
  <si>
    <t>Cost Per Unit</t>
  </si>
  <si>
    <t>Cost Per Piece</t>
  </si>
  <si>
    <t>Disposables (picks, straws, plastic cups, etc.)</t>
  </si>
  <si>
    <t>Disposables Pour Cost</t>
  </si>
  <si>
    <t>TOTAL POUR COST</t>
  </si>
  <si>
    <t>Target Menu Price</t>
  </si>
  <si>
    <t>Customer Pays</t>
  </si>
  <si>
    <t>Cost Percentage</t>
  </si>
  <si>
    <t>Student Name(s):</t>
  </si>
  <si>
    <t>Simple Profit</t>
  </si>
  <si>
    <t>Gross Profit Margin</t>
  </si>
  <si>
    <t>We know that bars and restaraunts would get much better wholesale prices but for this exercise, use grocery store prices for your cost.</t>
  </si>
  <si>
    <t>AP = Average Price</t>
  </si>
  <si>
    <t>The single unit average price would be the price of one lemon, or one lime, etc.  Typically, we would get 1 oz of juice from a lime, 2 oz of juice from a lemon, and at least 3 oz from an orange.</t>
  </si>
  <si>
    <t>See notes below for a cost of anything under .01 (one cent).</t>
  </si>
  <si>
    <t>Pieces Per Unit ***</t>
  </si>
  <si>
    <t>Agave Syrup cost per oz = .40</t>
  </si>
  <si>
    <r>
      <rPr>
        <b/>
        <sz val="11"/>
        <rFont val="Calibri"/>
        <family val="2"/>
        <scheme val="minor"/>
      </rPr>
      <t>***The "Pieces per Unit"</t>
    </r>
    <r>
      <rPr>
        <sz val="11"/>
        <rFont val="Calibri"/>
        <family val="2"/>
        <scheme val="minor"/>
      </rPr>
      <t xml:space="preserve"> section is sometimes the most confusing part for some people but it's actually pretty simple once you get it.  Just figure out how many slices, wedges, etc., you get from a single lime.  Let's pretend it's wedges and we get 8.  Put 8 in the "Pieces per Unit" cell and now the "Cost per Piece" will auto-calculate--telling you how much you are paying for a lime wedge.  BUT if you are calculating something like a cherry or a straw, you don't cut that up, so the " Pieces per Unit" number would always be "1".   </t>
    </r>
  </si>
  <si>
    <r>
      <rPr>
        <b/>
        <sz val="11"/>
        <color theme="1"/>
        <rFont val="Calibri"/>
        <family val="2"/>
        <scheme val="minor"/>
      </rPr>
      <t>SPECIAL NOTE</t>
    </r>
    <r>
      <rPr>
        <sz val="11"/>
        <color theme="1"/>
        <rFont val="Calibri"/>
        <family val="2"/>
        <scheme val="minor"/>
      </rPr>
      <t>: If the cost of any item is less than one cent, manually enter that number as a single penny (.01) for that item.  For example, the cost of a straw is less than a penny but it should be priced as 0.01.  Not all bar owners will agree but I always overpriced inventory like this, knowing that some things like a dash of tobasco or a shake or two of pepper wouldn't get counted for some drinks.  The extra penny may only add up to $50-$100 a year (more or less) but it off-sets some of the inventory you otherwise wouldn't count.</t>
    </r>
  </si>
  <si>
    <t xml:space="preserve">Grey areas are locked and cannot be changed. </t>
  </si>
  <si>
    <t>Bitters</t>
  </si>
  <si>
    <t>Number of Dashes</t>
  </si>
  <si>
    <t>Other (estimate per dash)</t>
  </si>
  <si>
    <t>Bitters Pour Cost</t>
  </si>
  <si>
    <t>The numbers can vary but typically, we get about 205 dashes from a 5oz bottle of bitters (or 41 dashes per ounce)</t>
  </si>
  <si>
    <t>Ango cost per dash .05 cents</t>
  </si>
  <si>
    <t>Peychauds cost per dash .07 cents</t>
  </si>
  <si>
    <r>
      <t>Running Pour Cost</t>
    </r>
    <r>
      <rPr>
        <b/>
        <sz val="1"/>
        <color theme="1"/>
        <rFont val="Calibri"/>
        <family val="2"/>
      </rPr>
      <t>∞</t>
    </r>
  </si>
  <si>
    <t xml:space="preserve">Lime juice </t>
  </si>
  <si>
    <t>honey syrup</t>
  </si>
  <si>
    <t>rosemary</t>
  </si>
  <si>
    <t>tarragon</t>
  </si>
  <si>
    <t xml:space="preserve">desgned to be used with lemon flavors </t>
  </si>
  <si>
    <t>designed to provide a warm and pungent flavor</t>
  </si>
  <si>
    <t>straws</t>
  </si>
  <si>
    <t xml:space="preserve">disposable cups </t>
  </si>
  <si>
    <t>umbrella straws</t>
  </si>
  <si>
    <t>Jungle Bird Cocktail</t>
  </si>
  <si>
    <t xml:space="preserve">captain morgan dark rum </t>
  </si>
  <si>
    <t>bacardi superior white rum</t>
  </si>
  <si>
    <t>wray &amp; nephew white overproof rum</t>
  </si>
  <si>
    <t>cayman reef 5yo</t>
  </si>
  <si>
    <t>kirk and sweeney reserva rum</t>
  </si>
  <si>
    <t>pineapple juice</t>
  </si>
  <si>
    <t>campari  bitters</t>
  </si>
  <si>
    <t>demerara syrup</t>
  </si>
  <si>
    <t>maraschino cherry</t>
  </si>
  <si>
    <t>pineaple wedge and leaves</t>
  </si>
  <si>
    <t>campari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</si>
</sst>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Geneva"/>
    </font>
    <font>
      <b/>
      <sz val="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3" xfId="0" applyBorder="1" applyAlignment="1">
      <alignment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wrapText="1"/>
      <protection locked="0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2" fontId="1" fillId="0" borderId="28" xfId="0" applyNumberFormat="1" applyFont="1" applyBorder="1" applyAlignment="1" applyProtection="1">
      <alignment horizontal="center" vertical="center" wrapText="1"/>
      <protection locked="0"/>
    </xf>
    <xf numFmtId="2" fontId="2" fillId="0" borderId="30" xfId="0" applyNumberFormat="1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right" wrapText="1"/>
      <protection locked="0"/>
    </xf>
    <xf numFmtId="2" fontId="0" fillId="3" borderId="8" xfId="0" applyNumberFormat="1" applyFill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right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8" xfId="0" applyNumberFormat="1" applyFont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2" fontId="2" fillId="3" borderId="11" xfId="0" applyNumberFormat="1" applyFont="1" applyFill="1" applyBorder="1" applyAlignment="1" applyProtection="1">
      <alignment horizontal="right" wrapText="1"/>
      <protection locked="0"/>
    </xf>
    <xf numFmtId="2" fontId="0" fillId="3" borderId="12" xfId="0" applyNumberFormat="1" applyFill="1" applyBorder="1" applyAlignment="1" applyProtection="1">
      <alignment horizontal="right" wrapText="1"/>
      <protection locked="0"/>
    </xf>
    <xf numFmtId="2" fontId="0" fillId="3" borderId="13" xfId="0" applyNumberFormat="1" applyFill="1" applyBorder="1" applyAlignment="1" applyProtection="1">
      <alignment horizontal="right" wrapText="1"/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2" fontId="2" fillId="0" borderId="10" xfId="0" applyNumberFormat="1" applyFon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" fontId="1" fillId="0" borderId="31" xfId="0" applyNumberFormat="1" applyFont="1" applyBorder="1" applyAlignment="1" applyProtection="1">
      <alignment horizontal="center" vertical="center" wrapText="1"/>
      <protection locked="0"/>
    </xf>
    <xf numFmtId="2" fontId="1" fillId="0" borderId="32" xfId="0" applyNumberFormat="1" applyFont="1" applyBorder="1" applyAlignment="1" applyProtection="1">
      <alignment horizontal="center" vertical="center" wrapText="1"/>
      <protection locked="0"/>
    </xf>
    <xf numFmtId="2" fontId="1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2" fontId="2" fillId="3" borderId="11" xfId="0" applyNumberFormat="1" applyFont="1" applyFill="1" applyBorder="1" applyAlignment="1" applyProtection="1">
      <alignment horizontal="right" vertical="center"/>
      <protection locked="0"/>
    </xf>
    <xf numFmtId="2" fontId="2" fillId="3" borderId="12" xfId="0" applyNumberFormat="1" applyFont="1" applyFill="1" applyBorder="1" applyAlignment="1" applyProtection="1">
      <alignment horizontal="right" vertical="center"/>
      <protection locked="0"/>
    </xf>
    <xf numFmtId="2" fontId="2" fillId="3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="80" zoomScaleNormal="80" workbookViewId="0">
      <selection activeCell="C18" sqref="C18"/>
    </sheetView>
  </sheetViews>
  <sheetFormatPr defaultColWidth="9.140625" defaultRowHeight="15"/>
  <cols>
    <col min="1" max="1" width="29.28515625" style="1" customWidth="1"/>
    <col min="2" max="3" width="9.140625" style="1"/>
    <col min="4" max="4" width="10.140625" style="1" customWidth="1"/>
    <col min="5" max="5" width="11" style="1" customWidth="1"/>
    <col min="6" max="6" width="9.42578125" style="1" customWidth="1"/>
    <col min="7" max="7" width="9.140625" style="1"/>
    <col min="8" max="8" width="9.7109375" style="1" customWidth="1"/>
    <col min="9" max="9" width="10.140625" style="1" customWidth="1"/>
    <col min="10" max="10" width="1.5703125" style="19" customWidth="1"/>
    <col min="11" max="11" width="30" style="6" customWidth="1"/>
    <col min="12" max="16384" width="9.140625" style="1"/>
  </cols>
  <sheetData>
    <row r="1" spans="1:11" ht="15" customHeight="1">
      <c r="A1" s="96" t="s">
        <v>73</v>
      </c>
      <c r="B1" s="96"/>
      <c r="C1" s="96"/>
      <c r="D1" s="96"/>
      <c r="E1" s="96"/>
      <c r="F1" s="96"/>
      <c r="G1" s="96"/>
      <c r="H1" s="96"/>
      <c r="I1" s="96"/>
      <c r="J1" s="15"/>
    </row>
    <row r="2" spans="1:11" ht="15.75" customHeight="1" thickBot="1">
      <c r="A2" s="97"/>
      <c r="B2" s="97"/>
      <c r="C2" s="97"/>
      <c r="D2" s="97"/>
      <c r="E2" s="97"/>
      <c r="F2" s="97"/>
      <c r="G2" s="97"/>
      <c r="H2" s="97"/>
      <c r="I2" s="97"/>
      <c r="J2" s="15"/>
    </row>
    <row r="3" spans="1:11" s="2" customFormat="1" ht="45.75" thickTop="1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36" t="s">
        <v>11</v>
      </c>
      <c r="J3" s="16"/>
      <c r="K3" s="87" t="s">
        <v>47</v>
      </c>
    </row>
    <row r="4" spans="1:11">
      <c r="A4" s="26" t="s">
        <v>74</v>
      </c>
      <c r="B4" s="27">
        <v>2196</v>
      </c>
      <c r="C4" s="28">
        <v>1.5</v>
      </c>
      <c r="D4" s="28">
        <v>28.2</v>
      </c>
      <c r="E4" s="28">
        <v>750</v>
      </c>
      <c r="F4" s="35">
        <f>IFERROR((D4/E4)*(29.57),0)</f>
        <v>1.1118320000000002</v>
      </c>
      <c r="G4" s="27"/>
      <c r="H4" s="27"/>
      <c r="I4" s="37">
        <f>IFERROR(C4*F4,0)</f>
        <v>1.6677480000000002</v>
      </c>
      <c r="J4" s="17"/>
      <c r="K4" s="88"/>
    </row>
    <row r="5" spans="1:11">
      <c r="A5" s="26" t="s">
        <v>75</v>
      </c>
      <c r="B5" s="27">
        <v>334151</v>
      </c>
      <c r="C5" s="28">
        <v>1.5</v>
      </c>
      <c r="D5" s="28">
        <v>43.45</v>
      </c>
      <c r="E5" s="28">
        <v>750</v>
      </c>
      <c r="F5" s="35">
        <f t="shared" ref="F5:F8" si="0">IFERROR((D5/E5)*(29.57),0)</f>
        <v>1.7130886666666667</v>
      </c>
      <c r="G5" s="27"/>
      <c r="H5" s="27"/>
      <c r="I5" s="37">
        <f t="shared" ref="I5:I8" si="1">IFERROR(C5*F5,0)</f>
        <v>2.5696330000000001</v>
      </c>
      <c r="J5" s="17"/>
      <c r="K5" s="88"/>
    </row>
    <row r="6" spans="1:11">
      <c r="A6" s="26" t="s">
        <v>77</v>
      </c>
      <c r="B6" s="27">
        <v>15028</v>
      </c>
      <c r="C6" s="28">
        <v>1.5</v>
      </c>
      <c r="D6" s="28">
        <v>40.950000000000003</v>
      </c>
      <c r="E6" s="28">
        <v>750</v>
      </c>
      <c r="F6" s="35">
        <f t="shared" si="0"/>
        <v>1.614522</v>
      </c>
      <c r="G6" s="27"/>
      <c r="H6" s="27"/>
      <c r="I6" s="37">
        <f t="shared" si="1"/>
        <v>2.421783</v>
      </c>
      <c r="J6" s="17"/>
      <c r="K6" s="88"/>
    </row>
    <row r="7" spans="1:11" ht="30">
      <c r="A7" s="26" t="s">
        <v>76</v>
      </c>
      <c r="B7" s="27">
        <v>326223</v>
      </c>
      <c r="C7" s="28">
        <v>1.5</v>
      </c>
      <c r="D7" s="28">
        <v>40.65</v>
      </c>
      <c r="E7" s="28">
        <v>750</v>
      </c>
      <c r="F7" s="35">
        <f t="shared" si="0"/>
        <v>1.6026940000000001</v>
      </c>
      <c r="G7" s="27"/>
      <c r="H7" s="27"/>
      <c r="I7" s="37">
        <f t="shared" si="1"/>
        <v>2.4040410000000003</v>
      </c>
      <c r="J7" s="17"/>
      <c r="K7" s="89"/>
    </row>
    <row r="8" spans="1:11">
      <c r="A8" s="26" t="s">
        <v>78</v>
      </c>
      <c r="B8" s="27">
        <v>15036</v>
      </c>
      <c r="C8" s="28">
        <v>1.5</v>
      </c>
      <c r="D8" s="28">
        <v>63.95</v>
      </c>
      <c r="E8" s="28">
        <v>750</v>
      </c>
      <c r="F8" s="35">
        <f t="shared" si="0"/>
        <v>2.5213353333333335</v>
      </c>
      <c r="G8" s="27"/>
      <c r="H8" s="27"/>
      <c r="I8" s="37">
        <f t="shared" si="1"/>
        <v>3.7820030000000004</v>
      </c>
      <c r="J8" s="17"/>
      <c r="K8" s="9"/>
    </row>
    <row r="9" spans="1:11" ht="15.75" thickBot="1">
      <c r="A9" s="32"/>
      <c r="B9" s="33"/>
      <c r="C9" s="33"/>
      <c r="D9" s="33"/>
      <c r="E9" s="64" t="s">
        <v>15</v>
      </c>
      <c r="F9" s="65"/>
      <c r="G9" s="65"/>
      <c r="H9" s="38"/>
      <c r="I9" s="39">
        <f>SUM(I4:I8)</f>
        <v>12.845208</v>
      </c>
      <c r="J9" s="18"/>
      <c r="K9" s="10"/>
    </row>
    <row r="10" spans="1:11" s="2" customFormat="1" ht="30.75" thickTop="1">
      <c r="A10" s="24" t="s">
        <v>6</v>
      </c>
      <c r="B10" s="25" t="s">
        <v>13</v>
      </c>
      <c r="C10" s="25" t="s">
        <v>7</v>
      </c>
      <c r="D10" s="25" t="s">
        <v>8</v>
      </c>
      <c r="E10" s="25" t="s">
        <v>9</v>
      </c>
      <c r="F10" s="25" t="s">
        <v>10</v>
      </c>
      <c r="G10" s="25"/>
      <c r="H10" s="25"/>
      <c r="I10" s="63" t="s">
        <v>63</v>
      </c>
      <c r="J10" s="16"/>
      <c r="K10" s="11"/>
    </row>
    <row r="11" spans="1:11">
      <c r="A11" s="26" t="s">
        <v>84</v>
      </c>
      <c r="B11" s="28">
        <v>28</v>
      </c>
      <c r="C11" s="28">
        <v>750</v>
      </c>
      <c r="D11" s="28">
        <v>0.75</v>
      </c>
      <c r="E11" s="35">
        <f>IFERROR((D11*29.57),0)</f>
        <v>22.177500000000002</v>
      </c>
      <c r="F11" s="35">
        <f>IFERROR(B11/C11,0)</f>
        <v>3.7333333333333336E-2</v>
      </c>
      <c r="G11" s="28"/>
      <c r="H11" s="28"/>
      <c r="I11" s="37">
        <f>IFERROR(E11*F11,0)</f>
        <v>0.82796000000000014</v>
      </c>
      <c r="J11" s="17"/>
      <c r="K11" s="22" t="s">
        <v>48</v>
      </c>
    </row>
    <row r="12" spans="1:11">
      <c r="A12" s="26"/>
      <c r="B12" s="28"/>
      <c r="C12" s="28"/>
      <c r="D12" s="28"/>
      <c r="E12" s="35">
        <f t="shared" ref="E12:E13" si="2">IFERROR((D12*29.57),0)</f>
        <v>0</v>
      </c>
      <c r="F12" s="35">
        <f t="shared" ref="F12:F13" si="3">IFERROR(B12/C12,0)</f>
        <v>0</v>
      </c>
      <c r="G12" s="28"/>
      <c r="H12" s="28"/>
      <c r="I12" s="37">
        <f t="shared" ref="I12:I13" si="4">IFERROR(E12*F12,0)</f>
        <v>0</v>
      </c>
      <c r="J12" s="17"/>
      <c r="K12" s="11"/>
    </row>
    <row r="13" spans="1:11">
      <c r="A13" s="26"/>
      <c r="B13" s="28"/>
      <c r="C13" s="28"/>
      <c r="D13" s="28"/>
      <c r="E13" s="35">
        <f t="shared" si="2"/>
        <v>0</v>
      </c>
      <c r="F13" s="35">
        <f t="shared" si="3"/>
        <v>0</v>
      </c>
      <c r="G13" s="28"/>
      <c r="H13" s="28"/>
      <c r="I13" s="37">
        <f t="shared" si="4"/>
        <v>0</v>
      </c>
      <c r="J13" s="17"/>
      <c r="K13" s="11"/>
    </row>
    <row r="14" spans="1:11" ht="15.75" thickBot="1">
      <c r="A14" s="32"/>
      <c r="B14" s="40"/>
      <c r="C14" s="40"/>
      <c r="D14" s="40"/>
      <c r="E14" s="66" t="s">
        <v>16</v>
      </c>
      <c r="F14" s="67"/>
      <c r="G14" s="68"/>
      <c r="H14" s="40"/>
      <c r="I14" s="39">
        <f>SUM(I11:I13)</f>
        <v>0.82796000000000014</v>
      </c>
      <c r="J14" s="18"/>
      <c r="K14" s="12"/>
    </row>
    <row r="15" spans="1:11" s="2" customFormat="1" ht="30.75" thickTop="1">
      <c r="A15" s="24" t="s">
        <v>12</v>
      </c>
      <c r="B15" s="25" t="s">
        <v>13</v>
      </c>
      <c r="C15" s="25" t="s">
        <v>8</v>
      </c>
      <c r="D15" s="25" t="s">
        <v>14</v>
      </c>
      <c r="E15" s="25"/>
      <c r="F15" s="25"/>
      <c r="G15" s="25"/>
      <c r="H15" s="25"/>
      <c r="I15" s="36" t="s">
        <v>11</v>
      </c>
      <c r="J15" s="16"/>
      <c r="K15" s="100" t="s">
        <v>49</v>
      </c>
    </row>
    <row r="16" spans="1:11">
      <c r="A16" s="26" t="s">
        <v>64</v>
      </c>
      <c r="B16" s="30">
        <v>0.25</v>
      </c>
      <c r="C16" s="30">
        <v>1</v>
      </c>
      <c r="D16" s="30">
        <v>0.5</v>
      </c>
      <c r="E16" s="30"/>
      <c r="F16" s="30"/>
      <c r="G16" s="30"/>
      <c r="H16" s="30"/>
      <c r="I16" s="37">
        <f>IFERROR(D16*B16,0)</f>
        <v>0.125</v>
      </c>
      <c r="J16" s="17"/>
      <c r="K16" s="101"/>
    </row>
    <row r="17" spans="1:11" ht="15" customHeight="1">
      <c r="A17" s="26" t="s">
        <v>79</v>
      </c>
      <c r="B17" s="30">
        <v>1.0900000000000001</v>
      </c>
      <c r="C17" s="30">
        <v>1.5</v>
      </c>
      <c r="D17" s="30">
        <v>0.5</v>
      </c>
      <c r="E17" s="30"/>
      <c r="F17" s="30"/>
      <c r="G17" s="30"/>
      <c r="H17" s="30"/>
      <c r="I17" s="37">
        <f t="shared" ref="I17:I18" si="5">IFERROR(D17*B17,0)</f>
        <v>0.54500000000000004</v>
      </c>
      <c r="J17" s="17"/>
      <c r="K17" s="101"/>
    </row>
    <row r="18" spans="1:11">
      <c r="A18" s="26"/>
      <c r="B18" s="30"/>
      <c r="C18" s="30"/>
      <c r="D18" s="30"/>
      <c r="E18" s="30"/>
      <c r="F18" s="30"/>
      <c r="G18" s="30"/>
      <c r="H18" s="30"/>
      <c r="I18" s="37">
        <f t="shared" si="5"/>
        <v>0</v>
      </c>
      <c r="J18" s="17"/>
      <c r="K18" s="101"/>
    </row>
    <row r="19" spans="1:11" ht="15.75" thickBot="1">
      <c r="A19" s="32"/>
      <c r="B19" s="33"/>
      <c r="C19" s="33"/>
      <c r="D19" s="33"/>
      <c r="E19" s="69" t="s">
        <v>17</v>
      </c>
      <c r="F19" s="69"/>
      <c r="G19" s="69"/>
      <c r="H19" s="33"/>
      <c r="I19" s="41">
        <f>SUM(I16:I18)</f>
        <v>0.67</v>
      </c>
      <c r="J19" s="17"/>
      <c r="K19" s="102"/>
    </row>
    <row r="20" spans="1:11" ht="60.75" thickTop="1">
      <c r="A20" s="24" t="s">
        <v>18</v>
      </c>
      <c r="B20" s="25" t="s">
        <v>21</v>
      </c>
      <c r="C20" s="25" t="s">
        <v>8</v>
      </c>
      <c r="D20" s="25" t="s">
        <v>20</v>
      </c>
      <c r="E20" s="25" t="s">
        <v>8</v>
      </c>
      <c r="F20" s="25" t="s">
        <v>52</v>
      </c>
      <c r="G20" s="25" t="s">
        <v>8</v>
      </c>
      <c r="H20" s="25" t="s">
        <v>19</v>
      </c>
      <c r="I20" s="36" t="s">
        <v>11</v>
      </c>
      <c r="J20" s="16"/>
      <c r="K20" s="13"/>
    </row>
    <row r="21" spans="1:11" ht="15" customHeight="1">
      <c r="A21" s="26" t="s">
        <v>81</v>
      </c>
      <c r="B21" s="35">
        <f>IFERROR(0.02*C21,0)</f>
        <v>3.2000000000000002E-3</v>
      </c>
      <c r="C21" s="29">
        <v>0.16</v>
      </c>
      <c r="D21" s="35">
        <f>IFERROR(0.28*E21,0)</f>
        <v>0</v>
      </c>
      <c r="E21" s="29">
        <v>0</v>
      </c>
      <c r="F21" s="35">
        <f>IFERROR(0.4*G21,0)</f>
        <v>0</v>
      </c>
      <c r="G21" s="28">
        <v>0</v>
      </c>
      <c r="H21" s="28">
        <v>0</v>
      </c>
      <c r="I21" s="37">
        <f>SUM(B21,D21,F21,H21)</f>
        <v>3.2000000000000002E-3</v>
      </c>
      <c r="J21" s="17"/>
      <c r="K21" s="103" t="s">
        <v>55</v>
      </c>
    </row>
    <row r="22" spans="1:11" ht="15" customHeight="1">
      <c r="A22" s="26" t="s">
        <v>65</v>
      </c>
      <c r="B22" s="35">
        <f t="shared" ref="B22" si="6">IFERROR(0.02*C22,0)</f>
        <v>0</v>
      </c>
      <c r="C22" s="29">
        <v>0</v>
      </c>
      <c r="D22" s="35">
        <f t="shared" ref="D22" si="7">IFERROR(0.28*E22,0)</f>
        <v>4.4800000000000006E-2</v>
      </c>
      <c r="E22" s="29">
        <v>0.16</v>
      </c>
      <c r="F22" s="35">
        <f t="shared" ref="F22" si="8">IFERROR(0.4*G22,0)</f>
        <v>0</v>
      </c>
      <c r="G22" s="28">
        <v>0</v>
      </c>
      <c r="H22" s="28">
        <v>0</v>
      </c>
      <c r="I22" s="37">
        <f>SUM(B22,D22,F22,H22)</f>
        <v>4.4800000000000006E-2</v>
      </c>
      <c r="J22" s="17"/>
      <c r="K22" s="104"/>
    </row>
    <row r="23" spans="1:11" ht="15.75" thickBot="1">
      <c r="A23" s="46"/>
      <c r="B23" s="47"/>
      <c r="C23" s="47"/>
      <c r="D23" s="47"/>
      <c r="E23" s="70" t="s">
        <v>22</v>
      </c>
      <c r="F23" s="70"/>
      <c r="G23" s="70"/>
      <c r="H23" s="47"/>
      <c r="I23" s="49">
        <f>SUM(I21:I22)</f>
        <v>4.8000000000000008E-2</v>
      </c>
      <c r="J23" s="18"/>
      <c r="K23" s="23"/>
    </row>
    <row r="24" spans="1:11" ht="60.75" thickTop="1">
      <c r="A24" s="24" t="s">
        <v>56</v>
      </c>
      <c r="B24" s="31" t="s">
        <v>61</v>
      </c>
      <c r="C24" s="31" t="s">
        <v>57</v>
      </c>
      <c r="D24" s="8"/>
      <c r="E24" s="31" t="s">
        <v>62</v>
      </c>
      <c r="F24" s="52" t="s">
        <v>57</v>
      </c>
      <c r="G24" s="53"/>
      <c r="H24" s="31" t="s">
        <v>58</v>
      </c>
      <c r="I24" s="55"/>
      <c r="J24" s="18"/>
      <c r="K24" s="62" t="s">
        <v>60</v>
      </c>
    </row>
    <row r="25" spans="1:11">
      <c r="A25" s="26" t="s">
        <v>80</v>
      </c>
      <c r="B25" s="60">
        <f>IFERROR(C25*0.05,0)</f>
        <v>0.1</v>
      </c>
      <c r="C25" s="28">
        <v>2</v>
      </c>
      <c r="D25" s="28"/>
      <c r="E25" s="59">
        <f>IFERROR(F25*0.07,0)</f>
        <v>0</v>
      </c>
      <c r="F25" s="56"/>
      <c r="G25" s="56"/>
      <c r="H25" s="57"/>
      <c r="I25" s="61">
        <f>IFERROR(B25+E25+H25,0)</f>
        <v>0.1</v>
      </c>
      <c r="J25" s="18"/>
      <c r="K25" s="23"/>
    </row>
    <row r="26" spans="1:11">
      <c r="A26" s="26"/>
      <c r="B26" s="60">
        <f t="shared" ref="B26:B27" si="9">IFERROR(C26*0.05,0)</f>
        <v>0</v>
      </c>
      <c r="C26" s="28"/>
      <c r="D26" s="28"/>
      <c r="E26" s="59">
        <f t="shared" ref="E26:E27" si="10">IFERROR(F26*0.07,0)</f>
        <v>0</v>
      </c>
      <c r="F26" s="56"/>
      <c r="G26" s="56"/>
      <c r="H26" s="57"/>
      <c r="I26" s="61">
        <f t="shared" ref="I26:I27" si="11">IFERROR(B26+E26+H26,0)</f>
        <v>0</v>
      </c>
      <c r="J26" s="18"/>
      <c r="K26" s="23"/>
    </row>
    <row r="27" spans="1:11">
      <c r="A27" s="26"/>
      <c r="B27" s="60">
        <f t="shared" si="9"/>
        <v>0</v>
      </c>
      <c r="C27" s="28"/>
      <c r="D27" s="28"/>
      <c r="E27" s="59">
        <f t="shared" si="10"/>
        <v>0</v>
      </c>
      <c r="F27" s="56"/>
      <c r="G27" s="56"/>
      <c r="H27" s="57"/>
      <c r="I27" s="61">
        <f t="shared" si="11"/>
        <v>0</v>
      </c>
      <c r="J27" s="18"/>
      <c r="K27" s="23"/>
    </row>
    <row r="28" spans="1:11" ht="15.75" thickBot="1">
      <c r="A28" s="32"/>
      <c r="B28" s="54"/>
      <c r="C28" s="54"/>
      <c r="D28" s="54"/>
      <c r="E28" s="80" t="s">
        <v>59</v>
      </c>
      <c r="F28" s="81"/>
      <c r="G28" s="82"/>
      <c r="H28" s="58"/>
      <c r="I28" s="39">
        <f>SUM(I25:I27)</f>
        <v>0.1</v>
      </c>
      <c r="J28" s="18"/>
      <c r="K28" s="23"/>
    </row>
    <row r="29" spans="1:11" ht="49.5" customHeight="1" thickTop="1">
      <c r="A29" s="50" t="s">
        <v>25</v>
      </c>
      <c r="B29" s="48" t="s">
        <v>23</v>
      </c>
      <c r="C29" s="74" t="s">
        <v>26</v>
      </c>
      <c r="D29" s="75"/>
      <c r="E29" s="75"/>
      <c r="F29" s="75"/>
      <c r="G29" s="75"/>
      <c r="H29" s="76"/>
      <c r="I29" s="51" t="s">
        <v>11</v>
      </c>
      <c r="J29" s="16"/>
      <c r="K29" s="13"/>
    </row>
    <row r="30" spans="1:11" ht="15" customHeight="1">
      <c r="A30" s="26" t="s">
        <v>66</v>
      </c>
      <c r="B30" s="28">
        <v>1.5</v>
      </c>
      <c r="C30" s="71" t="s">
        <v>68</v>
      </c>
      <c r="D30" s="72"/>
      <c r="E30" s="72"/>
      <c r="F30" s="72"/>
      <c r="G30" s="72"/>
      <c r="H30" s="73"/>
      <c r="I30" s="37">
        <f>IFERROR(B30,0)</f>
        <v>1.5</v>
      </c>
      <c r="J30" s="17"/>
      <c r="K30" s="13"/>
    </row>
    <row r="31" spans="1:11" ht="15" customHeight="1">
      <c r="A31" s="26" t="s">
        <v>67</v>
      </c>
      <c r="B31" s="28">
        <v>2</v>
      </c>
      <c r="C31" s="77" t="s">
        <v>69</v>
      </c>
      <c r="D31" s="78"/>
      <c r="E31" s="78"/>
      <c r="F31" s="78"/>
      <c r="G31" s="78"/>
      <c r="H31" s="79"/>
      <c r="I31" s="37">
        <f t="shared" ref="I31:I33" si="12">IFERROR(B31,0)</f>
        <v>2</v>
      </c>
      <c r="J31" s="17"/>
      <c r="K31" s="13"/>
    </row>
    <row r="32" spans="1:11">
      <c r="A32" s="26"/>
      <c r="B32" s="28"/>
      <c r="C32" s="77"/>
      <c r="D32" s="78"/>
      <c r="E32" s="78"/>
      <c r="F32" s="78"/>
      <c r="G32" s="78"/>
      <c r="H32" s="79"/>
      <c r="I32" s="37">
        <f t="shared" si="12"/>
        <v>0</v>
      </c>
      <c r="J32" s="17"/>
      <c r="K32" s="13"/>
    </row>
    <row r="33" spans="1:12">
      <c r="A33" s="26"/>
      <c r="B33" s="28"/>
      <c r="C33" s="71"/>
      <c r="D33" s="72"/>
      <c r="E33" s="72"/>
      <c r="F33" s="72"/>
      <c r="G33" s="72"/>
      <c r="H33" s="73"/>
      <c r="I33" s="37">
        <f t="shared" si="12"/>
        <v>0</v>
      </c>
      <c r="J33" s="17"/>
      <c r="K33" s="13"/>
    </row>
    <row r="34" spans="1:12" ht="15.75" thickBot="1">
      <c r="A34" s="32"/>
      <c r="B34" s="33"/>
      <c r="C34" s="33"/>
      <c r="D34" s="33"/>
      <c r="E34" s="64" t="s">
        <v>24</v>
      </c>
      <c r="F34" s="64"/>
      <c r="G34" s="64"/>
      <c r="H34" s="33"/>
      <c r="I34" s="39">
        <f>SUM(I30:I33)</f>
        <v>3.5</v>
      </c>
      <c r="J34" s="18"/>
      <c r="K34" s="13"/>
    </row>
    <row r="35" spans="1:12" s="2" customFormat="1" ht="60.75" thickTop="1">
      <c r="A35" s="24" t="s">
        <v>27</v>
      </c>
      <c r="B35" s="25" t="s">
        <v>28</v>
      </c>
      <c r="C35" s="25" t="s">
        <v>29</v>
      </c>
      <c r="D35" s="25" t="s">
        <v>32</v>
      </c>
      <c r="E35" s="25" t="s">
        <v>30</v>
      </c>
      <c r="F35" s="25"/>
      <c r="G35" s="85" t="s">
        <v>31</v>
      </c>
      <c r="H35" s="85"/>
      <c r="I35" s="36" t="s">
        <v>11</v>
      </c>
      <c r="J35" s="16"/>
      <c r="K35" s="13"/>
    </row>
    <row r="36" spans="1:12">
      <c r="A36" s="26" t="s">
        <v>83</v>
      </c>
      <c r="B36" s="28">
        <v>2.75</v>
      </c>
      <c r="C36" s="28">
        <v>1</v>
      </c>
      <c r="D36" s="28">
        <v>0.5</v>
      </c>
      <c r="E36" s="35">
        <f>IFERROR(B36/C36,0)</f>
        <v>2.75</v>
      </c>
      <c r="F36" s="28"/>
      <c r="G36" s="86">
        <v>0</v>
      </c>
      <c r="H36" s="86"/>
      <c r="I36" s="37">
        <f>IFERROR((D36*E36)+(G36),0)</f>
        <v>1.375</v>
      </c>
      <c r="J36" s="17"/>
      <c r="K36" s="99"/>
    </row>
    <row r="37" spans="1:12">
      <c r="A37" s="26" t="s">
        <v>82</v>
      </c>
      <c r="B37" s="28">
        <v>23.99</v>
      </c>
      <c r="C37" s="28">
        <v>93</v>
      </c>
      <c r="D37" s="28">
        <v>3</v>
      </c>
      <c r="E37" s="35">
        <f t="shared" ref="E37:E39" si="13">IFERROR(B37/C37,0)</f>
        <v>0.25795698924731181</v>
      </c>
      <c r="F37" s="27"/>
      <c r="G37" s="86">
        <v>0</v>
      </c>
      <c r="H37" s="86"/>
      <c r="I37" s="37">
        <f t="shared" ref="I37:I39" si="14">IFERROR((D37*E37)+(G37),0)</f>
        <v>0.77387096774193542</v>
      </c>
      <c r="J37" s="17"/>
      <c r="K37" s="99"/>
    </row>
    <row r="38" spans="1:12">
      <c r="A38" s="26"/>
      <c r="B38" s="28"/>
      <c r="C38" s="28"/>
      <c r="D38" s="28"/>
      <c r="E38" s="35">
        <f t="shared" si="13"/>
        <v>0</v>
      </c>
      <c r="F38" s="27"/>
      <c r="G38" s="86">
        <v>0</v>
      </c>
      <c r="H38" s="86"/>
      <c r="I38" s="37">
        <f t="shared" si="14"/>
        <v>0</v>
      </c>
      <c r="J38" s="17"/>
      <c r="K38" s="99"/>
    </row>
    <row r="39" spans="1:12">
      <c r="A39" s="26"/>
      <c r="B39" s="28"/>
      <c r="C39" s="28"/>
      <c r="D39" s="28"/>
      <c r="E39" s="35">
        <f t="shared" si="13"/>
        <v>0</v>
      </c>
      <c r="F39" s="27"/>
      <c r="G39" s="86">
        <v>0</v>
      </c>
      <c r="H39" s="86"/>
      <c r="I39" s="37">
        <f t="shared" si="14"/>
        <v>0</v>
      </c>
      <c r="J39" s="17"/>
      <c r="K39" s="99"/>
    </row>
    <row r="40" spans="1:12" ht="15.75" thickBot="1">
      <c r="A40" s="32"/>
      <c r="B40" s="33"/>
      <c r="C40" s="33"/>
      <c r="D40" s="33"/>
      <c r="E40" s="64" t="s">
        <v>33</v>
      </c>
      <c r="F40" s="64"/>
      <c r="G40" s="64"/>
      <c r="H40" s="33"/>
      <c r="I40" s="39">
        <f>SUM(I36:I39)</f>
        <v>2.1488709677419355</v>
      </c>
      <c r="J40" s="18"/>
      <c r="K40" s="99"/>
    </row>
    <row r="41" spans="1:12" s="2" customFormat="1" ht="60.75" thickTop="1">
      <c r="A41" s="24" t="s">
        <v>38</v>
      </c>
      <c r="B41" s="25" t="s">
        <v>34</v>
      </c>
      <c r="C41" s="25" t="s">
        <v>35</v>
      </c>
      <c r="D41" s="25" t="s">
        <v>36</v>
      </c>
      <c r="E41" s="25" t="s">
        <v>51</v>
      </c>
      <c r="F41" s="25" t="s">
        <v>37</v>
      </c>
      <c r="G41" s="25" t="s">
        <v>32</v>
      </c>
      <c r="H41" s="25"/>
      <c r="I41" s="36" t="s">
        <v>11</v>
      </c>
      <c r="J41" s="16"/>
      <c r="K41" s="12"/>
    </row>
    <row r="42" spans="1:12">
      <c r="A42" s="26" t="s">
        <v>70</v>
      </c>
      <c r="B42" s="28">
        <v>6.99</v>
      </c>
      <c r="C42" s="28">
        <v>500</v>
      </c>
      <c r="D42" s="35">
        <f>IFERROR(B42/C42,0)</f>
        <v>1.3980000000000001E-2</v>
      </c>
      <c r="E42" s="29">
        <v>0.01</v>
      </c>
      <c r="F42" s="35">
        <f>IFERROR(D42/E42,0)</f>
        <v>1.3980000000000001</v>
      </c>
      <c r="G42" s="29">
        <v>1</v>
      </c>
      <c r="H42" s="28"/>
      <c r="I42" s="37">
        <f>IFERROR(G42*F42,0)</f>
        <v>1.3980000000000001</v>
      </c>
      <c r="J42" s="17"/>
      <c r="K42" s="87" t="s">
        <v>50</v>
      </c>
    </row>
    <row r="43" spans="1:12">
      <c r="A43" s="26" t="s">
        <v>71</v>
      </c>
      <c r="B43" s="28">
        <v>18.989999999999998</v>
      </c>
      <c r="C43" s="28">
        <v>50</v>
      </c>
      <c r="D43" s="35">
        <f t="shared" ref="D43:D44" si="15">IFERROR(B43/C43,0)</f>
        <v>0.37979999999999997</v>
      </c>
      <c r="E43" s="29">
        <v>0.38</v>
      </c>
      <c r="F43" s="35">
        <f t="shared" ref="F43:F44" si="16">IFERROR(D43/E43,0)</f>
        <v>0.99947368421052618</v>
      </c>
      <c r="G43" s="29">
        <v>1</v>
      </c>
      <c r="H43" s="28"/>
      <c r="I43" s="37">
        <f t="shared" ref="I43:I44" si="17">IFERROR(G43*F43,0)</f>
        <v>0.99947368421052618</v>
      </c>
      <c r="J43" s="17"/>
      <c r="K43" s="88"/>
    </row>
    <row r="44" spans="1:12">
      <c r="A44" s="26" t="s">
        <v>72</v>
      </c>
      <c r="B44" s="28">
        <v>10.99</v>
      </c>
      <c r="C44" s="28">
        <v>100</v>
      </c>
      <c r="D44" s="35">
        <f t="shared" si="15"/>
        <v>0.1099</v>
      </c>
      <c r="E44" s="29">
        <v>0.11</v>
      </c>
      <c r="F44" s="35">
        <f t="shared" si="16"/>
        <v>0.99909090909090903</v>
      </c>
      <c r="G44" s="29">
        <v>3</v>
      </c>
      <c r="H44" s="28"/>
      <c r="I44" s="37">
        <f t="shared" si="17"/>
        <v>2.9972727272727271</v>
      </c>
      <c r="J44" s="17"/>
      <c r="K44" s="89"/>
    </row>
    <row r="45" spans="1:12" ht="15.75" thickBot="1">
      <c r="A45" s="32"/>
      <c r="B45" s="33"/>
      <c r="C45" s="33"/>
      <c r="D45" s="34"/>
      <c r="E45" s="118" t="s">
        <v>39</v>
      </c>
      <c r="F45" s="118"/>
      <c r="G45" s="118"/>
      <c r="H45" s="33"/>
      <c r="I45" s="39">
        <f>SUM(I42:I44)</f>
        <v>5.3947464114832533</v>
      </c>
      <c r="J45" s="18"/>
      <c r="K45" s="12"/>
    </row>
    <row r="46" spans="1:12" ht="16.5" thickTop="1" thickBot="1">
      <c r="K46" s="12"/>
    </row>
    <row r="47" spans="1:12" ht="22.5" customHeight="1" thickTop="1">
      <c r="A47" s="107" t="s">
        <v>44</v>
      </c>
      <c r="B47" s="108"/>
      <c r="C47" s="108"/>
      <c r="D47" s="109"/>
      <c r="E47" s="7"/>
      <c r="F47" s="116" t="s">
        <v>40</v>
      </c>
      <c r="G47" s="117"/>
      <c r="H47" s="8"/>
      <c r="I47" s="42">
        <f>SUM(I28,I45,I40,I34,I23,I19,I14,I9)</f>
        <v>25.534785379225191</v>
      </c>
      <c r="J47" s="20"/>
      <c r="K47" s="14"/>
      <c r="L47" s="3"/>
    </row>
    <row r="48" spans="1:12" ht="23.25" customHeight="1">
      <c r="A48" s="110"/>
      <c r="B48" s="111"/>
      <c r="C48" s="111"/>
      <c r="D48" s="112"/>
      <c r="E48" s="98"/>
      <c r="F48" s="83" t="s">
        <v>41</v>
      </c>
      <c r="G48" s="84"/>
      <c r="H48" s="4"/>
      <c r="I48" s="43">
        <v>15</v>
      </c>
      <c r="J48" s="21"/>
    </row>
    <row r="49" spans="1:11" ht="21.75" customHeight="1">
      <c r="A49" s="110"/>
      <c r="B49" s="111"/>
      <c r="C49" s="111"/>
      <c r="D49" s="112"/>
      <c r="E49" s="98"/>
      <c r="F49" s="83" t="s">
        <v>42</v>
      </c>
      <c r="G49" s="84"/>
      <c r="H49" s="4"/>
      <c r="I49" s="44">
        <f>IFERROR((I48*0.13)+(I48),0)</f>
        <v>16.95</v>
      </c>
      <c r="J49" s="21"/>
    </row>
    <row r="50" spans="1:11" ht="24" customHeight="1">
      <c r="A50" s="110"/>
      <c r="B50" s="111"/>
      <c r="C50" s="111"/>
      <c r="D50" s="112"/>
      <c r="E50" s="98"/>
      <c r="F50" s="83" t="s">
        <v>43</v>
      </c>
      <c r="G50" s="84"/>
      <c r="H50" s="4"/>
      <c r="I50" s="44">
        <f>IFERROR(I47/I48,0)</f>
        <v>1.7023190252816793</v>
      </c>
      <c r="J50" s="21"/>
    </row>
    <row r="51" spans="1:11" ht="23.25" customHeight="1">
      <c r="A51" s="110"/>
      <c r="B51" s="111"/>
      <c r="C51" s="111"/>
      <c r="D51" s="112"/>
      <c r="E51" s="98"/>
      <c r="F51" s="83" t="s">
        <v>46</v>
      </c>
      <c r="G51" s="84"/>
      <c r="H51" s="4"/>
      <c r="I51" s="44">
        <f>IFERROR((I48-I47)/(I48),0)</f>
        <v>-0.70231902528167944</v>
      </c>
      <c r="J51" s="21"/>
    </row>
    <row r="52" spans="1:11" ht="21" customHeight="1" thickBot="1">
      <c r="A52" s="113"/>
      <c r="B52" s="114"/>
      <c r="C52" s="114"/>
      <c r="D52" s="115"/>
      <c r="E52" s="98"/>
      <c r="F52" s="105" t="s">
        <v>45</v>
      </c>
      <c r="G52" s="106"/>
      <c r="H52" s="5"/>
      <c r="I52" s="45">
        <f>IFERROR(I48-I47,0)</f>
        <v>-10.534785379225191</v>
      </c>
      <c r="J52" s="21"/>
    </row>
    <row r="53" spans="1:11" ht="15.75" thickTop="1"/>
    <row r="54" spans="1:11" ht="74.25" customHeight="1">
      <c r="A54" s="90" t="s">
        <v>53</v>
      </c>
      <c r="B54" s="91"/>
      <c r="C54" s="91"/>
      <c r="D54" s="91"/>
      <c r="E54" s="91"/>
      <c r="F54" s="91"/>
      <c r="G54" s="91"/>
      <c r="H54" s="91"/>
      <c r="I54" s="91"/>
      <c r="J54" s="91"/>
      <c r="K54" s="92"/>
    </row>
    <row r="56" spans="1:11" ht="71.25" customHeight="1">
      <c r="A56" s="93" t="s">
        <v>54</v>
      </c>
      <c r="B56" s="94"/>
      <c r="C56" s="94"/>
      <c r="D56" s="94"/>
      <c r="E56" s="94"/>
      <c r="F56" s="94"/>
      <c r="G56" s="94"/>
      <c r="H56" s="94"/>
      <c r="I56" s="94"/>
      <c r="J56" s="94"/>
      <c r="K56" s="95"/>
    </row>
  </sheetData>
  <sheetProtection algorithmName="SHA-512" hashValue="oWZ9ZvdRWwftN1OpCaxWj7NetaVDBOekrEvHruJfYbtHxWA57TM/ICmKTwdZQ2eUpqVtqni1Q2O9eKZwTu7OBA==" saltValue="Jhj9W2fj+Kk/6ckl/cUtEg==" spinCount="100000" sheet="1" objects="1" scenarios="1"/>
  <mergeCells count="34">
    <mergeCell ref="K42:K44"/>
    <mergeCell ref="A54:K54"/>
    <mergeCell ref="A56:K56"/>
    <mergeCell ref="A1:I2"/>
    <mergeCell ref="E48:E52"/>
    <mergeCell ref="K3:K7"/>
    <mergeCell ref="K36:K40"/>
    <mergeCell ref="K15:K19"/>
    <mergeCell ref="K21:K22"/>
    <mergeCell ref="F52:G52"/>
    <mergeCell ref="F51:G51"/>
    <mergeCell ref="A47:D52"/>
    <mergeCell ref="F47:G47"/>
    <mergeCell ref="E40:G40"/>
    <mergeCell ref="E45:G45"/>
    <mergeCell ref="F48:G48"/>
    <mergeCell ref="F49:G49"/>
    <mergeCell ref="F50:G50"/>
    <mergeCell ref="C33:H33"/>
    <mergeCell ref="G35:H35"/>
    <mergeCell ref="G36:H36"/>
    <mergeCell ref="G37:H37"/>
    <mergeCell ref="G39:H39"/>
    <mergeCell ref="G38:H38"/>
    <mergeCell ref="E9:G9"/>
    <mergeCell ref="E14:G14"/>
    <mergeCell ref="E19:G19"/>
    <mergeCell ref="E23:G23"/>
    <mergeCell ref="E34:G34"/>
    <mergeCell ref="C30:H30"/>
    <mergeCell ref="C29:H29"/>
    <mergeCell ref="C31:H31"/>
    <mergeCell ref="C32:H32"/>
    <mergeCell ref="E28:G28"/>
  </mergeCells>
  <pageMargins left="1.3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TUSH</cp:lastModifiedBy>
  <cp:lastPrinted>2020-03-28T01:01:24Z</cp:lastPrinted>
  <dcterms:created xsi:type="dcterms:W3CDTF">2020-03-26T22:14:02Z</dcterms:created>
  <dcterms:modified xsi:type="dcterms:W3CDTF">2021-04-10T12:22:14Z</dcterms:modified>
</cp:coreProperties>
</file>